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ta (Team Folder)\NVDE\NVDE KLIMAATAKKOORD\PBL-doorrekening ontwerp-akkoord\"/>
    </mc:Choice>
  </mc:AlternateContent>
  <xr:revisionPtr revIDLastSave="0" documentId="8_{504F5E2A-5F1E-4772-BD72-6175F35B7BE4}" xr6:coauthVersionLast="41" xr6:coauthVersionMax="41" xr10:uidLastSave="{00000000-0000-0000-0000-000000000000}"/>
  <bookViews>
    <workbookView xWindow="-120" yWindow="-120" windowWidth="29040" windowHeight="15840" activeTab="1" xr2:uid="{D304E2BB-5461-4638-A3D3-57449EA1E1B2}"/>
  </bookViews>
  <sheets>
    <sheet name="Huishoudens en bedr. totaal" sheetId="1" r:id="rId1"/>
    <sheet name="Voorbeeldbedrijv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23" i="1"/>
  <c r="L13" i="1"/>
  <c r="E21" i="1"/>
  <c r="E20" i="1"/>
  <c r="E22" i="1"/>
  <c r="L12" i="1"/>
  <c r="L11" i="1"/>
  <c r="L10" i="1"/>
  <c r="L9" i="1"/>
  <c r="H9" i="1"/>
  <c r="E9" i="1"/>
  <c r="H31" i="2" l="1"/>
  <c r="H26" i="2"/>
  <c r="H21" i="2"/>
  <c r="H16" i="2"/>
  <c r="G31" i="2"/>
  <c r="G26" i="2"/>
  <c r="G21" i="2"/>
  <c r="G16" i="2"/>
  <c r="E31" i="2"/>
  <c r="E26" i="2"/>
  <c r="E21" i="2"/>
  <c r="E16" i="2"/>
  <c r="L9" i="2"/>
  <c r="E30" i="2"/>
  <c r="E29" i="2"/>
  <c r="E25" i="2"/>
  <c r="E24" i="2"/>
  <c r="E20" i="2"/>
  <c r="E19" i="2"/>
  <c r="E15" i="2"/>
  <c r="E14" i="2"/>
  <c r="E11" i="1"/>
  <c r="H11" i="1" s="1"/>
  <c r="E10" i="1"/>
  <c r="H12" i="1" s="1"/>
  <c r="H10" i="1" l="1"/>
  <c r="H13" i="1" s="1"/>
</calcChain>
</file>

<file path=xl/sharedStrings.xml><?xml version="1.0" encoding="utf-8"?>
<sst xmlns="http://schemas.openxmlformats.org/spreadsheetml/2006/main" count="83" uniqueCount="44">
  <si>
    <t>miljoen</t>
  </si>
  <si>
    <t>miljard</t>
  </si>
  <si>
    <t>Voorbeeldbedrijven</t>
  </si>
  <si>
    <t>Verbruikscijfers uit</t>
  </si>
  <si>
    <t>https://zoek.officielebekendmakingen.nl/kst-33115-6.html</t>
  </si>
  <si>
    <t>Bakker</t>
  </si>
  <si>
    <t>gas</t>
  </si>
  <si>
    <t>e</t>
  </si>
  <si>
    <t>gas (m3)</t>
  </si>
  <si>
    <t>elektra (kWh)</t>
  </si>
  <si>
    <t>Bedrijf in foodsector</t>
  </si>
  <si>
    <t>overgangen</t>
  </si>
  <si>
    <t>ODE per m3</t>
  </si>
  <si>
    <t>ODE per kWh</t>
  </si>
  <si>
    <t>hoger</t>
  </si>
  <si>
    <t>g</t>
  </si>
  <si>
    <t>inschatting effect ODE-schuif</t>
  </si>
  <si>
    <t>Totaal ODE</t>
  </si>
  <si>
    <t>groeifactor</t>
  </si>
  <si>
    <t>Totaal</t>
  </si>
  <si>
    <t>ODE 2019</t>
  </si>
  <si>
    <t>ODE 2030</t>
  </si>
  <si>
    <t>50/50</t>
  </si>
  <si>
    <t>67/33</t>
  </si>
  <si>
    <t>Groothandel</t>
  </si>
  <si>
    <t>Groot chemiebedrijf</t>
  </si>
  <si>
    <t>Benodigde ODE</t>
  </si>
  <si>
    <t>deel hh 2019, verdeling 50/50</t>
  </si>
  <si>
    <t>deel hh 2030, verdeling 50/50</t>
  </si>
  <si>
    <t>deel hh 2030, verdeling 2:1</t>
  </si>
  <si>
    <t>euro/jr</t>
  </si>
  <si>
    <t>Aantal huishoudens</t>
  </si>
  <si>
    <t>per huishouden, ex BTW</t>
  </si>
  <si>
    <t>per huishouden, inc BTW</t>
  </si>
  <si>
    <t>Effect bedrijven totaal</t>
  </si>
  <si>
    <t>Effect huishoudens</t>
  </si>
  <si>
    <t>(Rijksbegroting 2019(</t>
  </si>
  <si>
    <t>(aanname)</t>
  </si>
  <si>
    <t>deel bedrijven 2019, verdeling 50/50</t>
  </si>
  <si>
    <t>deel bedrijven 2030, verdeling 50/50</t>
  </si>
  <si>
    <t>deel bedrijven 2030, verdeling 2:1</t>
  </si>
  <si>
    <t>voordeel door schuif</t>
  </si>
  <si>
    <t>Extra lasten bedrijven door schuif</t>
  </si>
  <si>
    <t>(alleen ex BTW want vnl bedrijfsleven)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</si>
</sst>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_-;\-* #,##0_-;_-* &quot;-&quot;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" fontId="0" fillId="0" borderId="0" xfId="0" applyNumberFormat="1"/>
    <xf numFmtId="9" fontId="0" fillId="0" borderId="0" xfId="2" applyFont="1"/>
    <xf numFmtId="43" fontId="0" fillId="0" borderId="0" xfId="1" applyFont="1"/>
    <xf numFmtId="165" fontId="0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167" fontId="0" fillId="0" borderId="0" xfId="0" applyNumberFormat="1"/>
    <xf numFmtId="9" fontId="0" fillId="0" borderId="0" xfId="0" applyNumberFormat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85C21-2720-4EBE-B7BE-860D97FFDE0A}">
  <dimension ref="A2:O34"/>
  <sheetViews>
    <sheetView workbookViewId="0">
      <selection activeCell="E20" sqref="E20"/>
    </sheetView>
  </sheetViews>
  <sheetFormatPr defaultRowHeight="15" x14ac:dyDescent="0.25"/>
  <sheetData>
    <row r="2" spans="1:15" x14ac:dyDescent="0.25">
      <c r="E2" t="s">
        <v>19</v>
      </c>
    </row>
    <row r="3" spans="1:15" x14ac:dyDescent="0.25">
      <c r="A3" t="s">
        <v>26</v>
      </c>
      <c r="D3">
        <v>2019</v>
      </c>
      <c r="E3">
        <v>1.7</v>
      </c>
      <c r="F3" t="s">
        <v>1</v>
      </c>
      <c r="G3" t="s">
        <v>36</v>
      </c>
    </row>
    <row r="4" spans="1:15" x14ac:dyDescent="0.25">
      <c r="D4">
        <v>2030</v>
      </c>
      <c r="E4">
        <v>3.2</v>
      </c>
      <c r="F4" t="s">
        <v>1</v>
      </c>
      <c r="G4" t="s">
        <v>37</v>
      </c>
    </row>
    <row r="7" spans="1:15" x14ac:dyDescent="0.25">
      <c r="A7" s="10" t="s">
        <v>35</v>
      </c>
    </row>
    <row r="8" spans="1:15" x14ac:dyDescent="0.25">
      <c r="H8" t="s">
        <v>32</v>
      </c>
      <c r="L8" t="s">
        <v>33</v>
      </c>
      <c r="O8" s="9">
        <v>0.23</v>
      </c>
    </row>
    <row r="9" spans="1:15" x14ac:dyDescent="0.25">
      <c r="A9" t="s">
        <v>27</v>
      </c>
      <c r="E9">
        <f>E3/2</f>
        <v>0.85</v>
      </c>
      <c r="F9" t="s">
        <v>1</v>
      </c>
      <c r="H9" s="2">
        <f>E9/E14*1000</f>
        <v>106.25</v>
      </c>
      <c r="I9" t="s">
        <v>30</v>
      </c>
      <c r="L9" s="2">
        <f>H9*(1+O$8)</f>
        <v>130.6875</v>
      </c>
      <c r="M9" t="s">
        <v>30</v>
      </c>
    </row>
    <row r="10" spans="1:15" x14ac:dyDescent="0.25">
      <c r="A10" t="s">
        <v>28</v>
      </c>
      <c r="E10">
        <f>E4/2</f>
        <v>1.6</v>
      </c>
      <c r="F10" t="s">
        <v>1</v>
      </c>
      <c r="H10">
        <f>E10*1000/E14</f>
        <v>200</v>
      </c>
      <c r="I10" t="s">
        <v>30</v>
      </c>
      <c r="L10">
        <f>H10*(1+O$8)</f>
        <v>246</v>
      </c>
      <c r="M10" t="s">
        <v>30</v>
      </c>
    </row>
    <row r="11" spans="1:15" x14ac:dyDescent="0.25">
      <c r="A11" t="s">
        <v>29</v>
      </c>
      <c r="E11" s="1">
        <f>E4/3</f>
        <v>1.0666666666666667</v>
      </c>
      <c r="F11" t="s">
        <v>1</v>
      </c>
      <c r="H11" s="2">
        <f>E11*1000/E14</f>
        <v>133.33333333333334</v>
      </c>
      <c r="I11" t="s">
        <v>30</v>
      </c>
      <c r="L11">
        <f>H11*(1+O$8)</f>
        <v>164</v>
      </c>
      <c r="M11" t="s">
        <v>30</v>
      </c>
    </row>
    <row r="12" spans="1:15" x14ac:dyDescent="0.25">
      <c r="A12" t="s">
        <v>41</v>
      </c>
      <c r="H12" s="2">
        <f>(E10-E11)*1000/8</f>
        <v>66.666666666666686</v>
      </c>
      <c r="I12" t="s">
        <v>30</v>
      </c>
      <c r="L12">
        <f>H12*(1+O$8)</f>
        <v>82.000000000000028</v>
      </c>
      <c r="M12" t="s">
        <v>30</v>
      </c>
    </row>
    <row r="13" spans="1:15" x14ac:dyDescent="0.25">
      <c r="H13" s="3">
        <f>(H12/H10)</f>
        <v>0.33333333333333343</v>
      </c>
      <c r="L13" s="3">
        <f>L12/L10</f>
        <v>0.33333333333333343</v>
      </c>
    </row>
    <row r="14" spans="1:15" x14ac:dyDescent="0.25">
      <c r="A14" t="s">
        <v>31</v>
      </c>
      <c r="E14">
        <v>8</v>
      </c>
      <c r="F14" t="s">
        <v>0</v>
      </c>
    </row>
    <row r="18" spans="1:6" x14ac:dyDescent="0.25">
      <c r="A18" s="10" t="s">
        <v>34</v>
      </c>
    </row>
    <row r="19" spans="1:6" x14ac:dyDescent="0.25">
      <c r="E19" t="s">
        <v>43</v>
      </c>
    </row>
    <row r="20" spans="1:6" x14ac:dyDescent="0.25">
      <c r="A20" t="s">
        <v>38</v>
      </c>
      <c r="E20">
        <f>E3/2</f>
        <v>0.85</v>
      </c>
      <c r="F20" t="s">
        <v>1</v>
      </c>
    </row>
    <row r="21" spans="1:6" x14ac:dyDescent="0.25">
      <c r="A21" t="s">
        <v>39</v>
      </c>
      <c r="E21">
        <f>E4/2</f>
        <v>1.6</v>
      </c>
      <c r="F21" t="s">
        <v>1</v>
      </c>
    </row>
    <row r="22" spans="1:6" x14ac:dyDescent="0.25">
      <c r="A22" t="s">
        <v>40</v>
      </c>
      <c r="E22" s="1">
        <f>E4*2/3</f>
        <v>2.1333333333333333</v>
      </c>
      <c r="F22" t="s">
        <v>1</v>
      </c>
    </row>
    <row r="23" spans="1:6" x14ac:dyDescent="0.25">
      <c r="A23" t="s">
        <v>42</v>
      </c>
      <c r="E23" s="2">
        <f>(E22-E21)*1000</f>
        <v>533.33333333333326</v>
      </c>
      <c r="F23" t="s">
        <v>0</v>
      </c>
    </row>
    <row r="24" spans="1:6" x14ac:dyDescent="0.25">
      <c r="E24" s="3">
        <f>(E22-E21)/E21</f>
        <v>0.33333333333333326</v>
      </c>
    </row>
    <row r="34" spans="5:5" x14ac:dyDescent="0.25">
      <c r="E34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2B34F-0C79-482F-BBC3-2B070B96EC95}">
  <dimension ref="A1:M31"/>
  <sheetViews>
    <sheetView tabSelected="1" workbookViewId="0">
      <selection activeCell="P26" sqref="P26"/>
    </sheetView>
  </sheetViews>
  <sheetFormatPr defaultRowHeight="15" x14ac:dyDescent="0.25"/>
  <cols>
    <col min="3" max="3" width="14.28515625" style="6" bestFit="1" customWidth="1"/>
    <col min="5" max="5" width="11.5703125" bestFit="1" customWidth="1"/>
    <col min="6" max="6" width="13.28515625" bestFit="1" customWidth="1"/>
    <col min="7" max="7" width="14.28515625" bestFit="1" customWidth="1"/>
  </cols>
  <sheetData>
    <row r="1" spans="1:13" x14ac:dyDescent="0.25">
      <c r="A1" t="s">
        <v>2</v>
      </c>
    </row>
    <row r="2" spans="1:13" x14ac:dyDescent="0.25">
      <c r="A2" t="s">
        <v>3</v>
      </c>
    </row>
    <row r="3" spans="1:13" x14ac:dyDescent="0.25">
      <c r="A3" t="s">
        <v>4</v>
      </c>
    </row>
    <row r="5" spans="1:13" x14ac:dyDescent="0.25">
      <c r="E5">
        <v>2019</v>
      </c>
      <c r="K5" t="s">
        <v>16</v>
      </c>
    </row>
    <row r="6" spans="1:13" x14ac:dyDescent="0.25">
      <c r="C6" s="6" t="s">
        <v>11</v>
      </c>
      <c r="D6" t="s">
        <v>6</v>
      </c>
      <c r="E6" s="6">
        <v>170000</v>
      </c>
      <c r="F6" s="6">
        <v>1000000</v>
      </c>
      <c r="G6" s="6">
        <v>10000000</v>
      </c>
      <c r="H6" t="s">
        <v>14</v>
      </c>
      <c r="K6" s="4" t="s">
        <v>17</v>
      </c>
    </row>
    <row r="7" spans="1:13" s="4" customFormat="1" x14ac:dyDescent="0.25">
      <c r="D7" s="4" t="s">
        <v>7</v>
      </c>
      <c r="E7" s="6">
        <v>10000</v>
      </c>
      <c r="F7" s="6">
        <v>50000</v>
      </c>
      <c r="G7" s="6">
        <v>10000000</v>
      </c>
      <c r="K7">
        <v>2019</v>
      </c>
      <c r="L7" s="5">
        <v>1.7</v>
      </c>
      <c r="M7" t="s">
        <v>1</v>
      </c>
    </row>
    <row r="8" spans="1:13" x14ac:dyDescent="0.25">
      <c r="K8">
        <v>2030</v>
      </c>
      <c r="L8" s="5">
        <v>3.2</v>
      </c>
      <c r="M8" t="s">
        <v>1</v>
      </c>
    </row>
    <row r="9" spans="1:13" x14ac:dyDescent="0.25">
      <c r="C9" s="6" t="s">
        <v>12</v>
      </c>
      <c r="D9" t="s">
        <v>6</v>
      </c>
      <c r="E9">
        <v>5.2400000000000002E-2</v>
      </c>
      <c r="F9">
        <v>1.61E-2</v>
      </c>
      <c r="G9">
        <v>5.8999999999999999E-3</v>
      </c>
      <c r="H9">
        <v>3.0999999999999999E-3</v>
      </c>
      <c r="K9" t="s">
        <v>18</v>
      </c>
      <c r="L9" s="5">
        <f>L8/L7</f>
        <v>1.8823529411764708</v>
      </c>
      <c r="M9" t="s">
        <v>1</v>
      </c>
    </row>
    <row r="10" spans="1:13" x14ac:dyDescent="0.25">
      <c r="C10" s="6" t="s">
        <v>13</v>
      </c>
      <c r="D10" t="s">
        <v>7</v>
      </c>
      <c r="E10">
        <v>1.89E-2</v>
      </c>
      <c r="F10">
        <v>2.7799999999999998E-2</v>
      </c>
      <c r="G10">
        <v>7.4000000000000003E-3</v>
      </c>
      <c r="H10">
        <v>2.9999999999999997E-4</v>
      </c>
    </row>
    <row r="12" spans="1:13" x14ac:dyDescent="0.25">
      <c r="E12" t="s">
        <v>20</v>
      </c>
      <c r="G12" t="s">
        <v>21</v>
      </c>
      <c r="H12" t="s">
        <v>21</v>
      </c>
    </row>
    <row r="13" spans="1:13" x14ac:dyDescent="0.25">
      <c r="A13" t="s">
        <v>5</v>
      </c>
      <c r="E13" t="s">
        <v>22</v>
      </c>
      <c r="G13" t="s">
        <v>22</v>
      </c>
      <c r="H13" t="s">
        <v>23</v>
      </c>
    </row>
    <row r="14" spans="1:13" x14ac:dyDescent="0.25">
      <c r="A14" t="s">
        <v>8</v>
      </c>
      <c r="C14" s="6">
        <v>6000</v>
      </c>
      <c r="D14" t="s">
        <v>15</v>
      </c>
      <c r="E14" s="7">
        <f>C14*E9</f>
        <v>314.40000000000003</v>
      </c>
    </row>
    <row r="15" spans="1:13" x14ac:dyDescent="0.25">
      <c r="A15" t="s">
        <v>9</v>
      </c>
      <c r="C15" s="6">
        <v>15000</v>
      </c>
      <c r="D15" t="s">
        <v>7</v>
      </c>
      <c r="E15" s="7">
        <f>E7*E10+(C15-E7)*F10</f>
        <v>328</v>
      </c>
    </row>
    <row r="16" spans="1:13" x14ac:dyDescent="0.25">
      <c r="A16" t="s">
        <v>19</v>
      </c>
      <c r="E16" s="7">
        <f>SUM(E14:E15)</f>
        <v>642.40000000000009</v>
      </c>
      <c r="G16" s="8">
        <f>E16*L$9</f>
        <v>1209.223529411765</v>
      </c>
      <c r="H16" s="8">
        <f>G16*4/3</f>
        <v>1612.2980392156867</v>
      </c>
    </row>
    <row r="17" spans="1:8" x14ac:dyDescent="0.25">
      <c r="G17" s="8"/>
    </row>
    <row r="18" spans="1:8" x14ac:dyDescent="0.25">
      <c r="A18" t="s">
        <v>24</v>
      </c>
      <c r="G18" s="8"/>
    </row>
    <row r="19" spans="1:8" x14ac:dyDescent="0.25">
      <c r="A19" t="s">
        <v>8</v>
      </c>
      <c r="C19" s="6">
        <v>10000</v>
      </c>
      <c r="D19" t="s">
        <v>15</v>
      </c>
      <c r="E19" s="7">
        <f>C19*E9</f>
        <v>524</v>
      </c>
      <c r="G19" s="8"/>
    </row>
    <row r="20" spans="1:8" x14ac:dyDescent="0.25">
      <c r="A20" t="s">
        <v>9</v>
      </c>
      <c r="C20" s="6">
        <v>55000</v>
      </c>
      <c r="D20" t="s">
        <v>7</v>
      </c>
      <c r="E20" s="7">
        <f>E7*E10+(F7-E7)*F10+(C20-F7)*G10</f>
        <v>1338</v>
      </c>
      <c r="G20" s="8"/>
    </row>
    <row r="21" spans="1:8" x14ac:dyDescent="0.25">
      <c r="A21" t="s">
        <v>19</v>
      </c>
      <c r="E21" s="7">
        <f>SUM(E19:E20)</f>
        <v>1862</v>
      </c>
      <c r="G21" s="8">
        <f>E21*L$9</f>
        <v>3504.9411764705887</v>
      </c>
      <c r="H21" s="8">
        <f>G21*4/3</f>
        <v>4673.254901960785</v>
      </c>
    </row>
    <row r="22" spans="1:8" x14ac:dyDescent="0.25">
      <c r="G22" s="8"/>
    </row>
    <row r="23" spans="1:8" x14ac:dyDescent="0.25">
      <c r="A23" t="s">
        <v>10</v>
      </c>
      <c r="G23" s="8"/>
    </row>
    <row r="24" spans="1:8" x14ac:dyDescent="0.25">
      <c r="A24" t="s">
        <v>8</v>
      </c>
      <c r="C24" s="6">
        <v>170000</v>
      </c>
      <c r="D24" t="s">
        <v>15</v>
      </c>
      <c r="E24" s="7">
        <f>C24*E9</f>
        <v>8908</v>
      </c>
      <c r="G24" s="8"/>
    </row>
    <row r="25" spans="1:8" x14ac:dyDescent="0.25">
      <c r="A25" t="s">
        <v>9</v>
      </c>
      <c r="C25" s="6">
        <v>700000</v>
      </c>
      <c r="D25" t="s">
        <v>7</v>
      </c>
      <c r="E25" s="7">
        <f>E7*E10+(F7-E7)*F10+(C25-F7)*G10</f>
        <v>6111</v>
      </c>
      <c r="G25" s="8"/>
    </row>
    <row r="26" spans="1:8" x14ac:dyDescent="0.25">
      <c r="A26" t="s">
        <v>19</v>
      </c>
      <c r="E26" s="7">
        <f>SUM(E24:E25)</f>
        <v>15019</v>
      </c>
      <c r="G26" s="8">
        <f>E26*L$9</f>
        <v>28271.058823529416</v>
      </c>
      <c r="H26" s="8">
        <f>G26*4/3</f>
        <v>37694.745098039224</v>
      </c>
    </row>
    <row r="27" spans="1:8" x14ac:dyDescent="0.25">
      <c r="G27" s="8"/>
    </row>
    <row r="28" spans="1:8" x14ac:dyDescent="0.25">
      <c r="A28" t="s">
        <v>25</v>
      </c>
      <c r="G28" s="8"/>
    </row>
    <row r="29" spans="1:8" x14ac:dyDescent="0.25">
      <c r="A29" t="s">
        <v>8</v>
      </c>
      <c r="C29" s="6">
        <v>12000000</v>
      </c>
      <c r="D29" t="s">
        <v>15</v>
      </c>
      <c r="E29" s="7">
        <f>E6*E9+(F6-E6)*F9+(G6-F6)*G9+(C29-G6)*H9</f>
        <v>81571</v>
      </c>
      <c r="G29" s="8"/>
    </row>
    <row r="30" spans="1:8" x14ac:dyDescent="0.25">
      <c r="A30" t="s">
        <v>9</v>
      </c>
      <c r="C30" s="6">
        <v>20000000</v>
      </c>
      <c r="D30" t="s">
        <v>7</v>
      </c>
      <c r="E30" s="7">
        <f>E7*E10+(F7-E7)*F10+(G7-F7)*G10+(C30-G7)*H10</f>
        <v>77931</v>
      </c>
      <c r="G30" s="8"/>
    </row>
    <row r="31" spans="1:8" x14ac:dyDescent="0.25">
      <c r="A31" t="s">
        <v>19</v>
      </c>
      <c r="E31" s="7">
        <f>SUM(E29:E30)</f>
        <v>159502</v>
      </c>
      <c r="G31" s="8">
        <f>E31*L$9</f>
        <v>300239.05882352946</v>
      </c>
      <c r="H31" s="8">
        <f>G31*4/3</f>
        <v>400318.74509803928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Huishoudens en bedr. totaal</vt:lpstr>
      <vt:lpstr>Voorbeeldbedrijven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2019-03-14T10:30:02Z</dcterms:created>
  <dcterms:modified xsi:type="dcterms:W3CDTF">2019-03-15T08:45:22Z</dcterms:modified>
</cp:coreProperties>
</file>